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Histórico" sheetId="2" state="visible" r:id="rId4"/>
    <sheet name="Propuesta 1" sheetId="3" state="visible" r:id="rId5"/>
    <sheet name="Propuesta 2" sheetId="4" state="visible" r:id="rId6"/>
    <sheet name="Escalamient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Presupuesto mensual de pauta en Meta Ads. Cambiarlo recalcula todo el plan.</t>
        </r>
      </text>
    </comment>
    <comment ref="I8" authorId="0">
      <text>
        <r>
          <rPr>
            <sz val="10"/>
            <rFont val="Arial"/>
            <family val="2"/>
          </rPr>
          <t xml:space="preserve">El remarketing tiene CPM más alto por ser una audiencia más pequeña; por eso su costo por conversación es mayor que el de prospección.</t>
        </r>
      </text>
    </comment>
    <comment ref="L10" authorId="0">
      <text>
        <r>
          <rPr>
            <sz val="10"/>
            <rFont val="Arial"/>
            <family val="2"/>
          </rPr>
          <t xml:space="preserve">Alcance sumado entre campañas; puede haber personas repetidas entre ellas.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Presupuesto mensual de pauta en Meta Ads. Cambiarlo recalcula todo el plan.</t>
        </r>
      </text>
    </comment>
    <comment ref="I8" authorId="0">
      <text>
        <r>
          <rPr>
            <sz val="10"/>
            <rFont val="Arial"/>
            <family val="2"/>
          </rPr>
          <t xml:space="preserve">El remarketing tiene CPM más alto por ser una audiencia más pequeña; por eso su costo por conversación es mayor que el de prospección.</t>
        </r>
      </text>
    </comment>
    <comment ref="L11" authorId="0">
      <text>
        <r>
          <rPr>
            <sz val="10"/>
            <rFont val="Arial"/>
            <family val="2"/>
          </rPr>
          <t xml:space="preserve">Alcance sumado entre campañas; puede haber personas repetidas entre ellas.</t>
        </r>
      </text>
    </comment>
    <comment ref="O10" authorId="0">
      <text>
        <r>
          <rPr>
            <sz val="10"/>
            <rFont val="Arial"/>
            <family val="2"/>
          </rPr>
          <t xml:space="preserve">En video, el % se aplica sobre impresiones (tasa de ThruPlay), no sobre clics.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5" authorId="0">
      <text>
        <r>
          <rPr>
            <sz val="10"/>
            <rFont val="Arial"/>
            <family val="2"/>
          </rPr>
          <t xml:space="preserve">Subir entre 15% y 20% por paso evita reiniciar el aprendizaje de Meta y proteger el costo por resultado.</t>
        </r>
      </text>
    </comment>
    <comment ref="D7" authorId="0">
      <text>
        <r>
          <rPr>
            <sz val="10"/>
            <rFont val="Arial"/>
            <family val="2"/>
          </rPr>
          <t xml:space="preserve">Regla: solo se sube el siguiente escalón si el costo por conversación no subió más de este % frente al mes anterior.</t>
        </r>
      </text>
    </comment>
  </commentList>
</comments>
</file>

<file path=xl/sharedStrings.xml><?xml version="1.0" encoding="utf-8"?>
<sst xmlns="http://schemas.openxmlformats.org/spreadsheetml/2006/main" count="182" uniqueCount="102">
  <si>
    <t xml:space="preserve">TAPIA Innovación Odontológica | Propuesta de medios en Meta Ads</t>
  </si>
  <si>
    <t xml:space="preserve">Comparativo mensual de las dos propuestas. Todas las cifras vienen de las hojas de cada propuesta.</t>
  </si>
  <si>
    <t xml:space="preserve">Indicador</t>
  </si>
  <si>
    <t xml:space="preserve">Propuesta 1 | Conversión pura</t>
  </si>
  <si>
    <t xml:space="preserve">Propuesta 2 | Conversión + video</t>
  </si>
  <si>
    <t xml:space="preserve">Inversión mensual (S/)</t>
  </si>
  <si>
    <t xml:space="preserve">Conversaciones WhatsApp</t>
  </si>
  <si>
    <t xml:space="preserve">Costo por conversación WSP</t>
  </si>
  <si>
    <t xml:space="preserve">Leads web / formulario</t>
  </si>
  <si>
    <t xml:space="preserve">Costo por lead</t>
  </si>
  <si>
    <t xml:space="preserve">ThruPlays (público de video)</t>
  </si>
  <si>
    <t xml:space="preserve">Ventas estimadas | Conservador</t>
  </si>
  <si>
    <t xml:space="preserve">Ventas estimadas | Base</t>
  </si>
  <si>
    <t xml:space="preserve">Ventas estimadas | Optimista</t>
  </si>
  <si>
    <t xml:space="preserve">ROAS aplicado: conservador = septiembre, base = total del periodo, optimista = agosto (hoja Histórico).</t>
  </si>
  <si>
    <t xml:space="preserve">TAPIA Innovación Odontológica | Resultados históricos (S/)</t>
  </si>
  <si>
    <t xml:space="preserve">Fuente: reporte de resultados entregado por el usuario (julio desde el 20, septiembre hasta el 24).</t>
  </si>
  <si>
    <t xml:space="preserve">Mes</t>
  </si>
  <si>
    <t xml:space="preserve">Inversión total (S/)</t>
  </si>
  <si>
    <t xml:space="preserve">Ventas (S/)</t>
  </si>
  <si>
    <t xml:space="preserve">ROAS</t>
  </si>
  <si>
    <t xml:space="preserve">Julio (20)</t>
  </si>
  <si>
    <t xml:space="preserve">Agosto</t>
  </si>
  <si>
    <t xml:space="preserve">Septiembre (24)</t>
  </si>
  <si>
    <t xml:space="preserve">TOTAL</t>
  </si>
  <si>
    <t xml:space="preserve">ESCENARIOS DE ROAS PARA LA PROYECCIÓN</t>
  </si>
  <si>
    <t xml:space="preserve">Escenario</t>
  </si>
  <si>
    <t xml:space="preserve">Referencia</t>
  </si>
  <si>
    <t xml:space="preserve">Conservador</t>
  </si>
  <si>
    <t xml:space="preserve">ROAS de septiembre</t>
  </si>
  <si>
    <t xml:space="preserve">Base</t>
  </si>
  <si>
    <t xml:space="preserve">ROAS total del periodo</t>
  </si>
  <si>
    <t xml:space="preserve">Optimista</t>
  </si>
  <si>
    <t xml:space="preserve">ROAS de agosto</t>
  </si>
  <si>
    <t xml:space="preserve">Julio no se usa como escenario porque es un mes parcial y de arranque de campaña.</t>
  </si>
  <si>
    <t xml:space="preserve">TAPIA Innovación Odontológica | Plan de medios mensual en Meta Ads | Propuesta 1: Conversión pura</t>
  </si>
  <si>
    <t xml:space="preserve">Presupuesto mensual (S/)</t>
  </si>
  <si>
    <t xml:space="preserve">Periodo: mensual (30 días)</t>
  </si>
  <si>
    <t xml:space="preserve">Etapa</t>
  </si>
  <si>
    <t xml:space="preserve">Campaña</t>
  </si>
  <si>
    <t xml:space="preserve">Objetivo en Meta</t>
  </si>
  <si>
    <t xml:space="preserve">Destino</t>
  </si>
  <si>
    <t xml:space="preserve">Segmentación</t>
  </si>
  <si>
    <t xml:space="preserve">% del presupuesto</t>
  </si>
  <si>
    <t xml:space="preserve">Inversión (S/)</t>
  </si>
  <si>
    <t xml:space="preserve">CPM (S/)</t>
  </si>
  <si>
    <t xml:space="preserve">Impresiones</t>
  </si>
  <si>
    <t xml:space="preserve">Frecuencia</t>
  </si>
  <si>
    <t xml:space="preserve">Alcance</t>
  </si>
  <si>
    <t xml:space="preserve">CTR</t>
  </si>
  <si>
    <t xml:space="preserve">Clics</t>
  </si>
  <si>
    <t xml:space="preserve">% Conversión</t>
  </si>
  <si>
    <t xml:space="preserve">Resultados</t>
  </si>
  <si>
    <t xml:space="preserve">Tipo de resultado</t>
  </si>
  <si>
    <t xml:space="preserve">Costo por resultado (S/)</t>
  </si>
  <si>
    <t xml:space="preserve">CONVERSIÓN</t>
  </si>
  <si>
    <t xml:space="preserve">Mensajes WSP | Prospección</t>
  </si>
  <si>
    <t xml:space="preserve">Interacción (Mensajes)</t>
  </si>
  <si>
    <t xml:space="preserve">WhatsApp</t>
  </si>
  <si>
    <t xml:space="preserve">Adultos 25–55, zona de influencia de la clínica, intereses en salud y estética dental / Advantage+</t>
  </si>
  <si>
    <t xml:space="preserve">Conversaciones WSP</t>
  </si>
  <si>
    <t xml:space="preserve">Mensajes WSP | Remarketing</t>
  </si>
  <si>
    <t xml:space="preserve">Interactuaron con IG/FB, visitaron la web, chats sin cita</t>
  </si>
  <si>
    <t xml:space="preserve">Leads | Web / formulario</t>
  </si>
  <si>
    <t xml:space="preserve">Clientes potenciales</t>
  </si>
  <si>
    <t xml:space="preserve">Web / formulario</t>
  </si>
  <si>
    <t xml:space="preserve">Adultos 25–55 con intención (ortodoncia, implantes, estética) + lookalike de pacientes</t>
  </si>
  <si>
    <t xml:space="preserve">Leads</t>
  </si>
  <si>
    <t xml:space="preserve">KPIs DEL MES</t>
  </si>
  <si>
    <t xml:space="preserve">PROYECCIÓN DE VENTAS (ROAS HISTÓRICO)</t>
  </si>
  <si>
    <t xml:space="preserve">Ventas estimadas (S/)</t>
  </si>
  <si>
    <t xml:space="preserve">Total contactos (WSP + leads)</t>
  </si>
  <si>
    <t xml:space="preserve">Costo por contacto</t>
  </si>
  <si>
    <t xml:space="preserve">Ventas = inversión del mes × ROAS histórico de TAPIA (hoja Histórico).</t>
  </si>
  <si>
    <t xml:space="preserve">Cómo usar esta hoja</t>
  </si>
  <si>
    <t xml:space="preserve">• Texto azul = dato editable (presupuesto, %, CPM, frecuencia, CTR, % conversión). Texto negro = fórmula. Texto verde = viene de otra hoja.</t>
  </si>
  <si>
    <t xml:space="preserve">• Celdas amarillas = supuestos referenciales de mercado (Meta Ads, salud dental, Lima). Reemplazar con los datos reales de la cuenta de TAPIA en cuanto estén disponibles.</t>
  </si>
  <si>
    <t xml:space="preserve">• % Conversión: en campañas de mensajes y leads es sobre clics; en video es la tasa de ThruPlay sobre impresiones.</t>
  </si>
  <si>
    <t xml:space="preserve">• Los % del presupuesto deben sumar 100% (ver fila TOTAL).</t>
  </si>
  <si>
    <t xml:space="preserve">TAPIA Innovación Odontológica | Plan de medios mensual en Meta Ads | Propuesta 2: Conversión + públicos de video</t>
  </si>
  <si>
    <t xml:space="preserve">PÚBLICOS</t>
  </si>
  <si>
    <t xml:space="preserve">Reproducciones de video</t>
  </si>
  <si>
    <t xml:space="preserve">Interacción (ThruPlay)</t>
  </si>
  <si>
    <t xml:space="preserve">Video en Reels / Feed</t>
  </si>
  <si>
    <t xml:space="preserve">Adultos 25–55, zona de influencia, sin interacción previa</t>
  </si>
  <si>
    <t xml:space="preserve">ThruPlays</t>
  </si>
  <si>
    <t xml:space="preserve">Costo por ThruPlay</t>
  </si>
  <si>
    <t xml:space="preserve">Escalamiento gradual del presupuesto</t>
  </si>
  <si>
    <t xml:space="preserve">Presupuesto inicial (S/)</t>
  </si>
  <si>
    <t xml:space="preserve">Incremento por mes</t>
  </si>
  <si>
    <t xml:space="preserve">ROAS base (hoja Histórico)</t>
  </si>
  <si>
    <t xml:space="preserve">Tope de costo por resultado vs. mes anterior</t>
  </si>
  <si>
    <t xml:space="preserve">Presupuesto (S/)</t>
  </si>
  <si>
    <t xml:space="preserve">Ventas estimadas (S/) | ROAS base</t>
  </si>
  <si>
    <t xml:space="preserve">Condición para subir</t>
  </si>
  <si>
    <t xml:space="preserve">Mes 1</t>
  </si>
  <si>
    <t xml:space="preserve">Arranque y aprendizaje</t>
  </si>
  <si>
    <t xml:space="preserve">Mes 2</t>
  </si>
  <si>
    <t xml:space="preserve">Costo por resultado estable (≤ tope)</t>
  </si>
  <si>
    <t xml:space="preserve">Mes 3</t>
  </si>
  <si>
    <t xml:space="preserve">Mes 4</t>
  </si>
  <si>
    <t xml:space="preserve">Proyección con ROAS constante como referencia; al escalar, el ROAS puede bajar ligeramente mientras Meta encuentra nuevo público.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</si>
</sst>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&quot;S/ &quot;#,##0;&quot;(S/ &quot;#,##0\);\-"/>
    <numFmt numFmtId="166" formatCode="#,##0;\(#,##0\);\-"/>
    <numFmt numFmtId="167" formatCode="&quot;S/ &quot;#,##0.00;&quot;(S/ &quot;#,##0.00\);\-"/>
    <numFmt numFmtId="168" formatCode="0.00\x"/>
    <numFmt numFmtId="169" formatCode="0.0%;\(0.0%\);\-"/>
    <numFmt numFmtId="170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3B43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E3B43"/>
        <bgColor rgb="FF333333"/>
      </patternFill>
    </fill>
    <fill>
      <patternFill patternType="solid">
        <fgColor rgb="FFE6F3F2"/>
        <bgColor rgb="FFFFFFFF"/>
      </patternFill>
    </fill>
    <fill>
      <patternFill patternType="solid">
        <fgColor rgb="FF137C84"/>
        <bgColor rgb="FF00808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D5"/>
      </left>
      <right style="thin">
        <color rgb="FFC9D6D5"/>
      </right>
      <top style="thin">
        <color rgb="FFC9D6D5"/>
      </top>
      <bottom style="thin">
        <color rgb="FFC9D6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37C84"/>
      <rgbColor rgb="FFC0C0C0"/>
      <rgbColor rgb="FF808080"/>
      <rgbColor rgb="FF9999FF"/>
      <rgbColor rgb="FF993366"/>
      <rgbColor rgb="FFFFFFCC"/>
      <rgbColor rgb="FFE6F3F2"/>
      <rgbColor rgb="FF660066"/>
      <rgbColor rgb="FFFF8080"/>
      <rgbColor rgb="FF0066CC"/>
      <rgbColor rgb="FFC9D6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E3B4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3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 t="s">
        <v>3</v>
      </c>
      <c r="D5" s="3" t="s">
        <v>4</v>
      </c>
    </row>
    <row r="6" customFormat="false" ht="15" hidden="false" customHeight="false" outlineLevel="0" collapsed="false">
      <c r="B6" s="4" t="s">
        <v>5</v>
      </c>
      <c r="C6" s="5" t="n">
        <f aca="false">'Propuesta 1'!D4</f>
        <v>1500</v>
      </c>
      <c r="D6" s="5" t="n">
        <f aca="false">'Propuesta 2'!D4</f>
        <v>2000</v>
      </c>
    </row>
    <row r="7" customFormat="false" ht="15" hidden="false" customHeight="false" outlineLevel="0" collapsed="false">
      <c r="B7" s="4" t="s">
        <v>6</v>
      </c>
      <c r="C7" s="6" t="n">
        <f aca="false">'Propuesta 1'!C14</f>
        <v>217.840909090909</v>
      </c>
      <c r="D7" s="6" t="n">
        <f aca="false">'Propuesta 2'!C15</f>
        <v>240.454545454545</v>
      </c>
    </row>
    <row r="8" customFormat="false" ht="15" hidden="false" customHeight="false" outlineLevel="0" collapsed="false">
      <c r="B8" s="4" t="s">
        <v>7</v>
      </c>
      <c r="C8" s="7" t="n">
        <f aca="false">'Propuesta 1'!C15</f>
        <v>4.13145539906103</v>
      </c>
      <c r="D8" s="7" t="n">
        <f aca="false">'Propuesta 2'!C16</f>
        <v>4.15879017013233</v>
      </c>
    </row>
    <row r="9" customFormat="false" ht="15" hidden="false" customHeight="false" outlineLevel="0" collapsed="false">
      <c r="B9" s="4" t="s">
        <v>8</v>
      </c>
      <c r="C9" s="6" t="n">
        <f aca="false">'Propuesta 1'!C16</f>
        <v>33.3333333333333</v>
      </c>
      <c r="D9" s="6" t="n">
        <f aca="false">'Propuesta 2'!C17</f>
        <v>38.8888888888889</v>
      </c>
    </row>
    <row r="10" customFormat="false" ht="15" hidden="false" customHeight="false" outlineLevel="0" collapsed="false">
      <c r="B10" s="4" t="s">
        <v>9</v>
      </c>
      <c r="C10" s="7" t="n">
        <f aca="false">'Propuesta 1'!C17</f>
        <v>18</v>
      </c>
      <c r="D10" s="7" t="n">
        <f aca="false">'Propuesta 2'!C18</f>
        <v>18</v>
      </c>
    </row>
    <row r="11" customFormat="false" ht="15" hidden="false" customHeight="false" outlineLevel="0" collapsed="false">
      <c r="B11" s="4" t="s">
        <v>10</v>
      </c>
      <c r="C11" s="6" t="n">
        <v>0</v>
      </c>
      <c r="D11" s="6" t="n">
        <f aca="false">'Propuesta 2'!C21</f>
        <v>10000</v>
      </c>
    </row>
    <row r="12" customFormat="false" ht="15" hidden="false" customHeight="false" outlineLevel="0" collapsed="false">
      <c r="B12" s="8" t="s">
        <v>11</v>
      </c>
      <c r="C12" s="9" t="n">
        <f aca="false">'Propuesta 1'!I15</f>
        <v>3839.74084864072</v>
      </c>
      <c r="D12" s="9" t="n">
        <f aca="false">'Propuesta 2'!I16</f>
        <v>5119.65446485429</v>
      </c>
    </row>
    <row r="13" customFormat="false" ht="15" hidden="false" customHeight="false" outlineLevel="0" collapsed="false">
      <c r="B13" s="8" t="s">
        <v>12</v>
      </c>
      <c r="C13" s="9" t="n">
        <f aca="false">'Propuesta 1'!I16</f>
        <v>4991.1337244261</v>
      </c>
      <c r="D13" s="9" t="n">
        <f aca="false">'Propuesta 2'!I17</f>
        <v>6654.84496590146</v>
      </c>
    </row>
    <row r="14" customFormat="false" ht="15" hidden="false" customHeight="false" outlineLevel="0" collapsed="false">
      <c r="B14" s="8" t="s">
        <v>13</v>
      </c>
      <c r="C14" s="9" t="n">
        <f aca="false">'Propuesta 1'!I17</f>
        <v>8364.80228001425</v>
      </c>
      <c r="D14" s="9" t="n">
        <f aca="false">'Propuesta 2'!I18</f>
        <v>11153.0697066857</v>
      </c>
    </row>
    <row r="16" customFormat="false" ht="15" hidden="false" customHeight="false" outlineLevel="0" collapsed="false">
      <c r="B16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5" min="4" style="0" width="16"/>
  </cols>
  <sheetData>
    <row r="2" customFormat="false" ht="17.35" hidden="false" customHeight="false" outlineLevel="0" collapsed="false">
      <c r="B2" s="1" t="s">
        <v>15</v>
      </c>
    </row>
    <row r="3" customFormat="false" ht="15" hidden="false" customHeight="false" outlineLevel="0" collapsed="false">
      <c r="B3" s="2" t="s">
        <v>16</v>
      </c>
    </row>
    <row r="5" customFormat="false" ht="15" hidden="false" customHeight="false" outlineLevel="0" collapsed="false">
      <c r="B5" s="3" t="s">
        <v>17</v>
      </c>
      <c r="C5" s="3" t="s">
        <v>18</v>
      </c>
      <c r="D5" s="3" t="s">
        <v>19</v>
      </c>
      <c r="E5" s="3" t="s">
        <v>20</v>
      </c>
    </row>
    <row r="6" customFormat="false" ht="15" hidden="false" customHeight="false" outlineLevel="0" collapsed="false">
      <c r="B6" s="4" t="s">
        <v>21</v>
      </c>
      <c r="C6" s="10" t="n">
        <v>2528.01</v>
      </c>
      <c r="D6" s="10" t="n">
        <v>3331</v>
      </c>
      <c r="E6" s="11" t="n">
        <f aca="false">IFERROR(D6/C6,0)</f>
        <v>1.31763719289085</v>
      </c>
    </row>
    <row r="7" customFormat="false" ht="15" hidden="false" customHeight="false" outlineLevel="0" collapsed="false">
      <c r="B7" s="4" t="s">
        <v>22</v>
      </c>
      <c r="C7" s="10" t="n">
        <v>3368.4</v>
      </c>
      <c r="D7" s="10" t="n">
        <v>18784</v>
      </c>
      <c r="E7" s="11" t="n">
        <f aca="false">IFERROR(D7/C7,0)</f>
        <v>5.57653485334283</v>
      </c>
    </row>
    <row r="8" customFormat="false" ht="15" hidden="false" customHeight="false" outlineLevel="0" collapsed="false">
      <c r="B8" s="4" t="s">
        <v>23</v>
      </c>
      <c r="C8" s="10" t="n">
        <v>3250.61</v>
      </c>
      <c r="D8" s="10" t="n">
        <v>8321</v>
      </c>
      <c r="E8" s="11" t="n">
        <f aca="false">IFERROR(D8/C8,0)</f>
        <v>2.55982723242714</v>
      </c>
    </row>
    <row r="9" customFormat="false" ht="15" hidden="false" customHeight="false" outlineLevel="0" collapsed="false">
      <c r="B9" s="12" t="s">
        <v>24</v>
      </c>
      <c r="C9" s="13" t="n">
        <f aca="false">SUM(C6:C8)</f>
        <v>9147.02</v>
      </c>
      <c r="D9" s="13" t="n">
        <f aca="false">SUM(D6:D8)</f>
        <v>30436</v>
      </c>
      <c r="E9" s="14" t="n">
        <f aca="false">IFERROR(D9/C9,0)</f>
        <v>3.32742248295073</v>
      </c>
    </row>
    <row r="12" customFormat="false" ht="15" hidden="false" customHeight="false" outlineLevel="0" collapsed="false">
      <c r="B12" s="15" t="s">
        <v>25</v>
      </c>
      <c r="C12" s="15"/>
      <c r="D12" s="15"/>
      <c r="E12" s="15"/>
    </row>
    <row r="13" customFormat="false" ht="15" hidden="false" customHeight="false" outlineLevel="0" collapsed="false">
      <c r="B13" s="12" t="s">
        <v>26</v>
      </c>
      <c r="C13" s="12" t="s">
        <v>20</v>
      </c>
      <c r="D13" s="12" t="s">
        <v>27</v>
      </c>
      <c r="E13" s="12"/>
    </row>
    <row r="14" customFormat="false" ht="15" hidden="false" customHeight="false" outlineLevel="0" collapsed="false">
      <c r="B14" s="4" t="s">
        <v>28</v>
      </c>
      <c r="C14" s="11" t="n">
        <f aca="false">E8</f>
        <v>2.55982723242714</v>
      </c>
      <c r="D14" s="4" t="s">
        <v>29</v>
      </c>
      <c r="E14" s="4"/>
    </row>
    <row r="15" customFormat="false" ht="15" hidden="false" customHeight="false" outlineLevel="0" collapsed="false">
      <c r="B15" s="4" t="s">
        <v>30</v>
      </c>
      <c r="C15" s="11" t="n">
        <f aca="false">E9</f>
        <v>3.32742248295073</v>
      </c>
      <c r="D15" s="4" t="s">
        <v>31</v>
      </c>
      <c r="E15" s="4"/>
    </row>
    <row r="16" customFormat="false" ht="15" hidden="false" customHeight="false" outlineLevel="0" collapsed="false">
      <c r="B16" s="4" t="s">
        <v>32</v>
      </c>
      <c r="C16" s="11" t="n">
        <f aca="false">E7</f>
        <v>5.57653485334283</v>
      </c>
      <c r="D16" s="4" t="s">
        <v>33</v>
      </c>
      <c r="E16" s="4"/>
    </row>
    <row r="18" customFormat="false" ht="15" hidden="false" customHeight="false" outlineLevel="0" collapsed="false">
      <c r="B18" s="2" t="s">
        <v>34</v>
      </c>
    </row>
  </sheetData>
  <mergeCells count="5">
    <mergeCell ref="B12:E12"/>
    <mergeCell ref="D13:E13"/>
    <mergeCell ref="D14:E14"/>
    <mergeCell ref="D15:E15"/>
    <mergeCell ref="D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R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40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3" min="13" style="0" width="8"/>
    <col collapsed="false" customWidth="true" hidden="false" outlineLevel="0" max="14" min="14" style="0" width="9"/>
    <col collapsed="false" customWidth="true" hidden="false" outlineLevel="0" max="16" min="15" style="0" width="11"/>
    <col collapsed="false" customWidth="true" hidden="false" outlineLevel="0" max="17" min="17" style="0" width="17"/>
    <col collapsed="false" customWidth="true" hidden="false" outlineLevel="0" max="18" min="18" style="0" width="14"/>
  </cols>
  <sheetData>
    <row r="2" customFormat="false" ht="17.35" hidden="false" customHeight="false" outlineLevel="0" collapsed="false">
      <c r="B2" s="1" t="s">
        <v>35</v>
      </c>
    </row>
    <row r="4" customFormat="false" ht="15" hidden="false" customHeight="false" outlineLevel="0" collapsed="false">
      <c r="B4" s="16" t="s">
        <v>36</v>
      </c>
      <c r="D4" s="17" t="n">
        <v>1500</v>
      </c>
      <c r="F4" s="18" t="s">
        <v>37</v>
      </c>
    </row>
    <row r="6" customFormat="false" ht="31.5" hidden="false" customHeight="true" outlineLevel="0" collapsed="false"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46</v>
      </c>
      <c r="K6" s="3" t="s">
        <v>47</v>
      </c>
      <c r="L6" s="3" t="s">
        <v>48</v>
      </c>
      <c r="M6" s="3" t="s">
        <v>49</v>
      </c>
      <c r="N6" s="3" t="s">
        <v>50</v>
      </c>
      <c r="O6" s="3" t="s">
        <v>51</v>
      </c>
      <c r="P6" s="3" t="s">
        <v>52</v>
      </c>
      <c r="Q6" s="3" t="s">
        <v>53</v>
      </c>
      <c r="R6" s="3" t="s">
        <v>54</v>
      </c>
    </row>
    <row r="7" customFormat="false" ht="42" hidden="false" customHeight="true" outlineLevel="0" collapsed="false">
      <c r="B7" s="19" t="s">
        <v>55</v>
      </c>
      <c r="C7" s="20" t="s">
        <v>56</v>
      </c>
      <c r="D7" s="20" t="s">
        <v>57</v>
      </c>
      <c r="E7" s="20" t="s">
        <v>58</v>
      </c>
      <c r="F7" s="20" t="s">
        <v>59</v>
      </c>
      <c r="G7" s="21" t="n">
        <v>0.45</v>
      </c>
      <c r="H7" s="22" t="n">
        <f aca="false">$D$4*G7</f>
        <v>675</v>
      </c>
      <c r="I7" s="23" t="n">
        <v>16</v>
      </c>
      <c r="J7" s="24" t="n">
        <f aca="false">IFERROR(H7/I7*1000,0)</f>
        <v>42187.5</v>
      </c>
      <c r="K7" s="25" t="n">
        <v>2</v>
      </c>
      <c r="L7" s="24" t="n">
        <f aca="false">IFERROR(J7/K7,0)</f>
        <v>21093.75</v>
      </c>
      <c r="M7" s="26" t="n">
        <v>0.01</v>
      </c>
      <c r="N7" s="24" t="n">
        <f aca="false">J7*M7</f>
        <v>421.875</v>
      </c>
      <c r="O7" s="26" t="n">
        <v>0.4</v>
      </c>
      <c r="P7" s="24" t="n">
        <f aca="false">N7*O7</f>
        <v>168.75</v>
      </c>
      <c r="Q7" s="20" t="s">
        <v>60</v>
      </c>
      <c r="R7" s="22" t="n">
        <f aca="false">IFERROR(H7/P7,0)</f>
        <v>4</v>
      </c>
    </row>
    <row r="8" customFormat="false" ht="42" hidden="false" customHeight="true" outlineLevel="0" collapsed="false">
      <c r="B8" s="19" t="s">
        <v>55</v>
      </c>
      <c r="C8" s="20" t="s">
        <v>61</v>
      </c>
      <c r="D8" s="20" t="s">
        <v>57</v>
      </c>
      <c r="E8" s="20" t="s">
        <v>58</v>
      </c>
      <c r="F8" s="20" t="s">
        <v>62</v>
      </c>
      <c r="G8" s="21" t="n">
        <v>0.15</v>
      </c>
      <c r="H8" s="22" t="n">
        <f aca="false">$D$4*G8</f>
        <v>225</v>
      </c>
      <c r="I8" s="23" t="n">
        <v>22</v>
      </c>
      <c r="J8" s="24" t="n">
        <f aca="false">IFERROR(H8/I8*1000,0)</f>
        <v>10227.2727272727</v>
      </c>
      <c r="K8" s="25" t="n">
        <v>3</v>
      </c>
      <c r="L8" s="24" t="n">
        <f aca="false">IFERROR(J8/K8,0)</f>
        <v>3409.09090909091</v>
      </c>
      <c r="M8" s="26" t="n">
        <v>0.012</v>
      </c>
      <c r="N8" s="24" t="n">
        <f aca="false">J8*M8</f>
        <v>122.727272727273</v>
      </c>
      <c r="O8" s="26" t="n">
        <v>0.4</v>
      </c>
      <c r="P8" s="24" t="n">
        <f aca="false">N8*O8</f>
        <v>49.0909090909091</v>
      </c>
      <c r="Q8" s="20" t="s">
        <v>60</v>
      </c>
      <c r="R8" s="22" t="n">
        <f aca="false">IFERROR(H8/P8,0)</f>
        <v>4.58333333333333</v>
      </c>
    </row>
    <row r="9" customFormat="false" ht="42" hidden="false" customHeight="true" outlineLevel="0" collapsed="false">
      <c r="B9" s="19" t="s">
        <v>55</v>
      </c>
      <c r="C9" s="20" t="s">
        <v>63</v>
      </c>
      <c r="D9" s="20" t="s">
        <v>64</v>
      </c>
      <c r="E9" s="20" t="s">
        <v>65</v>
      </c>
      <c r="F9" s="20" t="s">
        <v>66</v>
      </c>
      <c r="G9" s="21" t="n">
        <v>0.4</v>
      </c>
      <c r="H9" s="22" t="n">
        <f aca="false">$D$4*G9</f>
        <v>600</v>
      </c>
      <c r="I9" s="23" t="n">
        <v>18</v>
      </c>
      <c r="J9" s="24" t="n">
        <f aca="false">IFERROR(H9/I9*1000,0)</f>
        <v>33333.3333333333</v>
      </c>
      <c r="K9" s="25" t="n">
        <v>2</v>
      </c>
      <c r="L9" s="24" t="n">
        <f aca="false">IFERROR(J9/K9,0)</f>
        <v>16666.6666666667</v>
      </c>
      <c r="M9" s="26" t="n">
        <v>0.01</v>
      </c>
      <c r="N9" s="24" t="n">
        <f aca="false">J9*M9</f>
        <v>333.333333333333</v>
      </c>
      <c r="O9" s="26" t="n">
        <v>0.1</v>
      </c>
      <c r="P9" s="24" t="n">
        <f aca="false">N9*O9</f>
        <v>33.3333333333333</v>
      </c>
      <c r="Q9" s="20" t="s">
        <v>67</v>
      </c>
      <c r="R9" s="22" t="n">
        <f aca="false">IFERROR(H9/P9,0)</f>
        <v>18</v>
      </c>
    </row>
    <row r="10" customFormat="false" ht="15" hidden="false" customHeight="false" outlineLevel="0" collapsed="false">
      <c r="B10" s="12" t="s">
        <v>24</v>
      </c>
      <c r="C10" s="12"/>
      <c r="D10" s="12"/>
      <c r="E10" s="12"/>
      <c r="F10" s="12"/>
      <c r="G10" s="27" t="n">
        <f aca="false">SUM(G7:G9)</f>
        <v>1</v>
      </c>
      <c r="H10" s="13" t="n">
        <f aca="false">SUM(H7:H9)</f>
        <v>1500</v>
      </c>
      <c r="I10" s="13" t="n">
        <f aca="false">IFERROR(H10/J10*1000,0)</f>
        <v>17.4930977360574</v>
      </c>
      <c r="J10" s="28" t="n">
        <f aca="false">SUM(J7:J9)</f>
        <v>85748.1060606061</v>
      </c>
      <c r="K10" s="12"/>
      <c r="L10" s="28" t="n">
        <f aca="false">SUM(L7:L9)</f>
        <v>41169.5075757576</v>
      </c>
      <c r="M10" s="12"/>
      <c r="N10" s="28" t="n">
        <f aca="false">SUM(N7:N9)</f>
        <v>877.935606060606</v>
      </c>
      <c r="O10" s="12"/>
      <c r="P10" s="12"/>
      <c r="Q10" s="12"/>
      <c r="R10" s="12"/>
    </row>
    <row r="13" customFormat="false" ht="15" hidden="false" customHeight="false" outlineLevel="0" collapsed="false">
      <c r="B13" s="15" t="s">
        <v>68</v>
      </c>
      <c r="C13" s="15"/>
      <c r="D13" s="15"/>
      <c r="F13" s="15" t="s">
        <v>69</v>
      </c>
      <c r="G13" s="15"/>
      <c r="H13" s="15"/>
      <c r="I13" s="15"/>
    </row>
    <row r="14" customFormat="false" ht="35.05" hidden="false" customHeight="false" outlineLevel="0" collapsed="false">
      <c r="B14" s="4" t="s">
        <v>6</v>
      </c>
      <c r="C14" s="29" t="n">
        <f aca="false">SUMIF($Q$7:$Q$9,"Conversaciones WSP",$P$7:$P$9)</f>
        <v>217.840909090909</v>
      </c>
      <c r="D14" s="29"/>
      <c r="F14" s="30" t="s">
        <v>26</v>
      </c>
      <c r="G14" s="30" t="s">
        <v>20</v>
      </c>
      <c r="H14" s="30" t="s">
        <v>44</v>
      </c>
      <c r="I14" s="30" t="s">
        <v>70</v>
      </c>
    </row>
    <row r="15" customFormat="false" ht="15" hidden="false" customHeight="false" outlineLevel="0" collapsed="false">
      <c r="B15" s="4" t="s">
        <v>7</v>
      </c>
      <c r="C15" s="31" t="n">
        <f aca="false">IFERROR(SUMIF($Q$7:$Q$9,"Conversaciones WSP",$H$7:$H$9)/C14,0)</f>
        <v>4.13145539906103</v>
      </c>
      <c r="D15" s="31"/>
      <c r="F15" s="4" t="s">
        <v>28</v>
      </c>
      <c r="G15" s="32" t="n">
        <f aca="false">Histórico!C14</f>
        <v>2.55982723242714</v>
      </c>
      <c r="H15" s="33" t="n">
        <f aca="false">$D$4</f>
        <v>1500</v>
      </c>
      <c r="I15" s="34" t="n">
        <f aca="false">G15*H15</f>
        <v>3839.74084864072</v>
      </c>
    </row>
    <row r="16" customFormat="false" ht="15" hidden="false" customHeight="false" outlineLevel="0" collapsed="false">
      <c r="B16" s="4" t="s">
        <v>8</v>
      </c>
      <c r="C16" s="29" t="n">
        <f aca="false">SUMIF($Q$7:$Q$9,"Leads",$P$7:$P$9)</f>
        <v>33.3333333333333</v>
      </c>
      <c r="D16" s="29"/>
      <c r="F16" s="4" t="s">
        <v>30</v>
      </c>
      <c r="G16" s="32" t="n">
        <f aca="false">Histórico!C15</f>
        <v>3.32742248295073</v>
      </c>
      <c r="H16" s="33" t="n">
        <f aca="false">$D$4</f>
        <v>1500</v>
      </c>
      <c r="I16" s="34" t="n">
        <f aca="false">G16*H16</f>
        <v>4991.1337244261</v>
      </c>
    </row>
    <row r="17" customFormat="false" ht="15" hidden="false" customHeight="false" outlineLevel="0" collapsed="false">
      <c r="B17" s="4" t="s">
        <v>9</v>
      </c>
      <c r="C17" s="31" t="n">
        <f aca="false">IFERROR(SUMIF($Q$7:$Q$9,"Leads",$H$7:$H$9)/C16,0)</f>
        <v>18</v>
      </c>
      <c r="D17" s="31"/>
      <c r="F17" s="4" t="s">
        <v>32</v>
      </c>
      <c r="G17" s="32" t="n">
        <f aca="false">Histórico!C16</f>
        <v>5.57653485334283</v>
      </c>
      <c r="H17" s="33" t="n">
        <f aca="false">$D$4</f>
        <v>1500</v>
      </c>
      <c r="I17" s="34" t="n">
        <f aca="false">G17*H17</f>
        <v>8364.80228001425</v>
      </c>
    </row>
    <row r="18" customFormat="false" ht="15" hidden="false" customHeight="false" outlineLevel="0" collapsed="false">
      <c r="B18" s="4" t="s">
        <v>71</v>
      </c>
      <c r="C18" s="29" t="n">
        <f aca="false">C14+C16</f>
        <v>251.174242424242</v>
      </c>
      <c r="D18" s="29"/>
    </row>
    <row r="19" customFormat="false" ht="15" hidden="false" customHeight="false" outlineLevel="0" collapsed="false">
      <c r="B19" s="4" t="s">
        <v>72</v>
      </c>
      <c r="C19" s="31" t="n">
        <f aca="false">IFERROR((SUMIF($Q$7:$Q$9,"Conversaciones WSP",$H$7:$H$9)+SUMIF($Q$7:$Q$9,"Leads",$H$7:$H$9))/C18,0)</f>
        <v>5.97194993213693</v>
      </c>
      <c r="D19" s="31"/>
      <c r="F19" s="2" t="s">
        <v>73</v>
      </c>
    </row>
    <row r="22" customFormat="false" ht="15" hidden="false" customHeight="false" outlineLevel="0" collapsed="false">
      <c r="B22" s="16" t="s">
        <v>74</v>
      </c>
    </row>
    <row r="23" customFormat="false" ht="15" hidden="false" customHeight="false" outlineLevel="0" collapsed="false">
      <c r="B23" s="18" t="s">
        <v>75</v>
      </c>
    </row>
    <row r="24" customFormat="false" ht="15" hidden="false" customHeight="false" outlineLevel="0" collapsed="false">
      <c r="B24" s="18" t="s">
        <v>76</v>
      </c>
    </row>
    <row r="25" customFormat="false" ht="15" hidden="false" customHeight="false" outlineLevel="0" collapsed="false">
      <c r="B25" s="18" t="s">
        <v>77</v>
      </c>
    </row>
    <row r="26" customFormat="false" ht="15" hidden="false" customHeight="false" outlineLevel="0" collapsed="false">
      <c r="B26" s="18" t="s">
        <v>78</v>
      </c>
    </row>
  </sheetData>
  <mergeCells count="8">
    <mergeCell ref="B13:D13"/>
    <mergeCell ref="F13:I13"/>
    <mergeCell ref="C14:D14"/>
    <mergeCell ref="C15:D15"/>
    <mergeCell ref="C16:D16"/>
    <mergeCell ref="C17:D17"/>
    <mergeCell ref="C18:D18"/>
    <mergeCell ref="C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R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40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3" min="13" style="0" width="8"/>
    <col collapsed="false" customWidth="true" hidden="false" outlineLevel="0" max="14" min="14" style="0" width="9"/>
    <col collapsed="false" customWidth="true" hidden="false" outlineLevel="0" max="16" min="15" style="0" width="11"/>
    <col collapsed="false" customWidth="true" hidden="false" outlineLevel="0" max="17" min="17" style="0" width="17"/>
    <col collapsed="false" customWidth="true" hidden="false" outlineLevel="0" max="18" min="18" style="0" width="14"/>
  </cols>
  <sheetData>
    <row r="2" customFormat="false" ht="17.35" hidden="false" customHeight="false" outlineLevel="0" collapsed="false">
      <c r="B2" s="1" t="s">
        <v>79</v>
      </c>
    </row>
    <row r="4" customFormat="false" ht="15" hidden="false" customHeight="false" outlineLevel="0" collapsed="false">
      <c r="B4" s="16" t="s">
        <v>36</v>
      </c>
      <c r="D4" s="17" t="n">
        <v>2000</v>
      </c>
      <c r="F4" s="18" t="s">
        <v>37</v>
      </c>
    </row>
    <row r="6" customFormat="false" ht="31.5" hidden="false" customHeight="true" outlineLevel="0" collapsed="false"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46</v>
      </c>
      <c r="K6" s="3" t="s">
        <v>47</v>
      </c>
      <c r="L6" s="3" t="s">
        <v>48</v>
      </c>
      <c r="M6" s="3" t="s">
        <v>49</v>
      </c>
      <c r="N6" s="3" t="s">
        <v>50</v>
      </c>
      <c r="O6" s="3" t="s">
        <v>51</v>
      </c>
      <c r="P6" s="3" t="s">
        <v>52</v>
      </c>
      <c r="Q6" s="3" t="s">
        <v>53</v>
      </c>
      <c r="R6" s="3" t="s">
        <v>54</v>
      </c>
    </row>
    <row r="7" customFormat="false" ht="42" hidden="false" customHeight="true" outlineLevel="0" collapsed="false">
      <c r="B7" s="19" t="s">
        <v>55</v>
      </c>
      <c r="C7" s="20" t="s">
        <v>56</v>
      </c>
      <c r="D7" s="20" t="s">
        <v>57</v>
      </c>
      <c r="E7" s="20" t="s">
        <v>58</v>
      </c>
      <c r="F7" s="20" t="s">
        <v>59</v>
      </c>
      <c r="G7" s="21" t="n">
        <v>0.35</v>
      </c>
      <c r="H7" s="22" t="n">
        <f aca="false">$D$4*G7</f>
        <v>700</v>
      </c>
      <c r="I7" s="23" t="n">
        <v>16</v>
      </c>
      <c r="J7" s="24" t="n">
        <f aca="false">IFERROR(H7/I7*1000,0)</f>
        <v>43750</v>
      </c>
      <c r="K7" s="25" t="n">
        <v>2</v>
      </c>
      <c r="L7" s="24" t="n">
        <f aca="false">IFERROR(J7/K7,0)</f>
        <v>21875</v>
      </c>
      <c r="M7" s="26" t="n">
        <v>0.01</v>
      </c>
      <c r="N7" s="24" t="n">
        <f aca="false">J7*M7</f>
        <v>437.5</v>
      </c>
      <c r="O7" s="26" t="n">
        <v>0.4</v>
      </c>
      <c r="P7" s="24" t="n">
        <f aca="false">N7*O7</f>
        <v>175</v>
      </c>
      <c r="Q7" s="20" t="s">
        <v>60</v>
      </c>
      <c r="R7" s="22" t="n">
        <f aca="false">IFERROR(H7/P7,0)</f>
        <v>4</v>
      </c>
    </row>
    <row r="8" customFormat="false" ht="42" hidden="false" customHeight="true" outlineLevel="0" collapsed="false">
      <c r="B8" s="19" t="s">
        <v>55</v>
      </c>
      <c r="C8" s="20" t="s">
        <v>61</v>
      </c>
      <c r="D8" s="20" t="s">
        <v>57</v>
      </c>
      <c r="E8" s="20" t="s">
        <v>58</v>
      </c>
      <c r="F8" s="20" t="s">
        <v>62</v>
      </c>
      <c r="G8" s="21" t="n">
        <v>0.15</v>
      </c>
      <c r="H8" s="22" t="n">
        <f aca="false">$D$4*G8</f>
        <v>300</v>
      </c>
      <c r="I8" s="23" t="n">
        <v>22</v>
      </c>
      <c r="J8" s="24" t="n">
        <f aca="false">IFERROR(H8/I8*1000,0)</f>
        <v>13636.3636363636</v>
      </c>
      <c r="K8" s="25" t="n">
        <v>3</v>
      </c>
      <c r="L8" s="24" t="n">
        <f aca="false">IFERROR(J8/K8,0)</f>
        <v>4545.45454545455</v>
      </c>
      <c r="M8" s="26" t="n">
        <v>0.012</v>
      </c>
      <c r="N8" s="24" t="n">
        <f aca="false">J8*M8</f>
        <v>163.636363636364</v>
      </c>
      <c r="O8" s="26" t="n">
        <v>0.4</v>
      </c>
      <c r="P8" s="24" t="n">
        <f aca="false">N8*O8</f>
        <v>65.4545454545455</v>
      </c>
      <c r="Q8" s="20" t="s">
        <v>60</v>
      </c>
      <c r="R8" s="22" t="n">
        <f aca="false">IFERROR(H8/P8,0)</f>
        <v>4.58333333333333</v>
      </c>
    </row>
    <row r="9" customFormat="false" ht="42" hidden="false" customHeight="true" outlineLevel="0" collapsed="false">
      <c r="B9" s="19" t="s">
        <v>55</v>
      </c>
      <c r="C9" s="20" t="s">
        <v>63</v>
      </c>
      <c r="D9" s="20" t="s">
        <v>64</v>
      </c>
      <c r="E9" s="20" t="s">
        <v>65</v>
      </c>
      <c r="F9" s="20" t="s">
        <v>66</v>
      </c>
      <c r="G9" s="21" t="n">
        <v>0.35</v>
      </c>
      <c r="H9" s="22" t="n">
        <f aca="false">$D$4*G9</f>
        <v>700</v>
      </c>
      <c r="I9" s="23" t="n">
        <v>18</v>
      </c>
      <c r="J9" s="24" t="n">
        <f aca="false">IFERROR(H9/I9*1000,0)</f>
        <v>38888.8888888889</v>
      </c>
      <c r="K9" s="25" t="n">
        <v>2</v>
      </c>
      <c r="L9" s="24" t="n">
        <f aca="false">IFERROR(J9/K9,0)</f>
        <v>19444.4444444444</v>
      </c>
      <c r="M9" s="26" t="n">
        <v>0.01</v>
      </c>
      <c r="N9" s="24" t="n">
        <f aca="false">J9*M9</f>
        <v>388.888888888889</v>
      </c>
      <c r="O9" s="26" t="n">
        <v>0.1</v>
      </c>
      <c r="P9" s="24" t="n">
        <f aca="false">N9*O9</f>
        <v>38.8888888888889</v>
      </c>
      <c r="Q9" s="20" t="s">
        <v>67</v>
      </c>
      <c r="R9" s="22" t="n">
        <f aca="false">IFERROR(H9/P9,0)</f>
        <v>18</v>
      </c>
    </row>
    <row r="10" customFormat="false" ht="42" hidden="false" customHeight="true" outlineLevel="0" collapsed="false">
      <c r="B10" s="19" t="s">
        <v>80</v>
      </c>
      <c r="C10" s="20" t="s">
        <v>81</v>
      </c>
      <c r="D10" s="20" t="s">
        <v>82</v>
      </c>
      <c r="E10" s="20" t="s">
        <v>83</v>
      </c>
      <c r="F10" s="20" t="s">
        <v>84</v>
      </c>
      <c r="G10" s="21" t="n">
        <v>0.15</v>
      </c>
      <c r="H10" s="22" t="n">
        <f aca="false">$D$4*G10</f>
        <v>300</v>
      </c>
      <c r="I10" s="23" t="n">
        <v>6</v>
      </c>
      <c r="J10" s="24" t="n">
        <f aca="false">IFERROR(H10/I10*1000,0)</f>
        <v>50000</v>
      </c>
      <c r="K10" s="25" t="n">
        <v>2.5</v>
      </c>
      <c r="L10" s="24" t="n">
        <f aca="false">IFERROR(J10/K10,0)</f>
        <v>20000</v>
      </c>
      <c r="M10" s="26" t="n">
        <v>0.005</v>
      </c>
      <c r="N10" s="24" t="n">
        <f aca="false">J10*M10</f>
        <v>250</v>
      </c>
      <c r="O10" s="26" t="n">
        <v>0.2</v>
      </c>
      <c r="P10" s="24" t="n">
        <f aca="false">J10*O10</f>
        <v>10000</v>
      </c>
      <c r="Q10" s="20" t="s">
        <v>85</v>
      </c>
      <c r="R10" s="22" t="n">
        <f aca="false">IFERROR(H10/P10,0)</f>
        <v>0.03</v>
      </c>
    </row>
    <row r="11" customFormat="false" ht="15" hidden="false" customHeight="false" outlineLevel="0" collapsed="false">
      <c r="B11" s="12" t="s">
        <v>24</v>
      </c>
      <c r="C11" s="12"/>
      <c r="D11" s="12"/>
      <c r="E11" s="12"/>
      <c r="F11" s="12"/>
      <c r="G11" s="27" t="n">
        <f aca="false">SUM(G7:G10)</f>
        <v>1</v>
      </c>
      <c r="H11" s="13" t="n">
        <f aca="false">SUM(H7:H10)</f>
        <v>2000</v>
      </c>
      <c r="I11" s="13" t="n">
        <f aca="false">IFERROR(H11/J11*1000,0)</f>
        <v>13.6728528269314</v>
      </c>
      <c r="J11" s="28" t="n">
        <f aca="false">SUM(J7:J10)</f>
        <v>146275.252525253</v>
      </c>
      <c r="K11" s="12"/>
      <c r="L11" s="28" t="n">
        <f aca="false">SUM(L7:L10)</f>
        <v>65864.898989899</v>
      </c>
      <c r="M11" s="12"/>
      <c r="N11" s="28" t="n">
        <f aca="false">SUM(N7:N10)</f>
        <v>1240.02525252525</v>
      </c>
      <c r="O11" s="12"/>
      <c r="P11" s="12"/>
      <c r="Q11" s="12"/>
      <c r="R11" s="12"/>
    </row>
    <row r="14" customFormat="false" ht="15" hidden="false" customHeight="false" outlineLevel="0" collapsed="false">
      <c r="B14" s="15" t="s">
        <v>68</v>
      </c>
      <c r="C14" s="15"/>
      <c r="D14" s="15"/>
      <c r="F14" s="15" t="s">
        <v>69</v>
      </c>
      <c r="G14" s="15"/>
      <c r="H14" s="15"/>
      <c r="I14" s="15"/>
    </row>
    <row r="15" customFormat="false" ht="35.05" hidden="false" customHeight="false" outlineLevel="0" collapsed="false">
      <c r="B15" s="4" t="s">
        <v>6</v>
      </c>
      <c r="C15" s="29" t="n">
        <f aca="false">SUMIF($Q$7:$Q$10,"Conversaciones WSP",$P$7:$P$10)</f>
        <v>240.454545454545</v>
      </c>
      <c r="D15" s="29"/>
      <c r="F15" s="30" t="s">
        <v>26</v>
      </c>
      <c r="G15" s="30" t="s">
        <v>20</v>
      </c>
      <c r="H15" s="30" t="s">
        <v>44</v>
      </c>
      <c r="I15" s="30" t="s">
        <v>70</v>
      </c>
    </row>
    <row r="16" customFormat="false" ht="15" hidden="false" customHeight="false" outlineLevel="0" collapsed="false">
      <c r="B16" s="4" t="s">
        <v>7</v>
      </c>
      <c r="C16" s="31" t="n">
        <f aca="false">IFERROR(SUMIF($Q$7:$Q$10,"Conversaciones WSP",$H$7:$H$10)/C15,0)</f>
        <v>4.15879017013233</v>
      </c>
      <c r="D16" s="31"/>
      <c r="F16" s="4" t="s">
        <v>28</v>
      </c>
      <c r="G16" s="32" t="n">
        <f aca="false">Histórico!C14</f>
        <v>2.55982723242714</v>
      </c>
      <c r="H16" s="33" t="n">
        <f aca="false">$D$4</f>
        <v>2000</v>
      </c>
      <c r="I16" s="34" t="n">
        <f aca="false">G16*H16</f>
        <v>5119.65446485429</v>
      </c>
    </row>
    <row r="17" customFormat="false" ht="15" hidden="false" customHeight="false" outlineLevel="0" collapsed="false">
      <c r="B17" s="4" t="s">
        <v>8</v>
      </c>
      <c r="C17" s="29" t="n">
        <f aca="false">SUMIF($Q$7:$Q$10,"Leads",$P$7:$P$10)</f>
        <v>38.8888888888889</v>
      </c>
      <c r="D17" s="29"/>
      <c r="F17" s="4" t="s">
        <v>30</v>
      </c>
      <c r="G17" s="32" t="n">
        <f aca="false">Histórico!C15</f>
        <v>3.32742248295073</v>
      </c>
      <c r="H17" s="33" t="n">
        <f aca="false">$D$4</f>
        <v>2000</v>
      </c>
      <c r="I17" s="34" t="n">
        <f aca="false">G17*H17</f>
        <v>6654.84496590146</v>
      </c>
    </row>
    <row r="18" customFormat="false" ht="15" hidden="false" customHeight="false" outlineLevel="0" collapsed="false">
      <c r="B18" s="4" t="s">
        <v>9</v>
      </c>
      <c r="C18" s="31" t="n">
        <f aca="false">IFERROR(SUMIF($Q$7:$Q$10,"Leads",$H$7:$H$10)/C17,0)</f>
        <v>18</v>
      </c>
      <c r="D18" s="31"/>
      <c r="F18" s="4" t="s">
        <v>32</v>
      </c>
      <c r="G18" s="32" t="n">
        <f aca="false">Histórico!C16</f>
        <v>5.57653485334283</v>
      </c>
      <c r="H18" s="33" t="n">
        <f aca="false">$D$4</f>
        <v>2000</v>
      </c>
      <c r="I18" s="34" t="n">
        <f aca="false">G18*H18</f>
        <v>11153.0697066857</v>
      </c>
    </row>
    <row r="19" customFormat="false" ht="15" hidden="false" customHeight="false" outlineLevel="0" collapsed="false">
      <c r="B19" s="4" t="s">
        <v>71</v>
      </c>
      <c r="C19" s="29" t="n">
        <f aca="false">C15+C17</f>
        <v>279.343434343434</v>
      </c>
      <c r="D19" s="29"/>
    </row>
    <row r="20" customFormat="false" ht="15" hidden="false" customHeight="false" outlineLevel="0" collapsed="false">
      <c r="B20" s="4" t="s">
        <v>72</v>
      </c>
      <c r="C20" s="31" t="n">
        <f aca="false">IFERROR((SUMIF($Q$7:$Q$10,"Conversaciones WSP",$H$7:$H$10)+SUMIF($Q$7:$Q$10,"Leads",$H$7:$H$10))/C19,0)</f>
        <v>6.08569878864582</v>
      </c>
      <c r="D20" s="31"/>
      <c r="F20" s="2" t="s">
        <v>73</v>
      </c>
    </row>
    <row r="21" customFormat="false" ht="15" hidden="false" customHeight="false" outlineLevel="0" collapsed="false">
      <c r="B21" s="4" t="s">
        <v>10</v>
      </c>
      <c r="C21" s="29" t="n">
        <f aca="false">SUMIF($Q$7:$Q$10,"ThruPlays",$P$7:$P$10)</f>
        <v>10000</v>
      </c>
      <c r="D21" s="29"/>
    </row>
    <row r="22" customFormat="false" ht="15" hidden="false" customHeight="false" outlineLevel="0" collapsed="false">
      <c r="B22" s="4" t="s">
        <v>86</v>
      </c>
      <c r="C22" s="31" t="n">
        <f aca="false">IFERROR(SUMIF($Q$7:$Q$10,"ThruPlays",$H$7:$H$10)/C21,0)</f>
        <v>0.03</v>
      </c>
      <c r="D22" s="31"/>
    </row>
    <row r="25" customFormat="false" ht="15" hidden="false" customHeight="false" outlineLevel="0" collapsed="false">
      <c r="B25" s="16" t="s">
        <v>74</v>
      </c>
    </row>
    <row r="26" customFormat="false" ht="15" hidden="false" customHeight="false" outlineLevel="0" collapsed="false">
      <c r="B26" s="18" t="s">
        <v>75</v>
      </c>
    </row>
    <row r="27" customFormat="false" ht="15" hidden="false" customHeight="false" outlineLevel="0" collapsed="false">
      <c r="B27" s="18" t="s">
        <v>76</v>
      </c>
    </row>
    <row r="28" customFormat="false" ht="15" hidden="false" customHeight="false" outlineLevel="0" collapsed="false">
      <c r="B28" s="18" t="s">
        <v>77</v>
      </c>
    </row>
    <row r="29" customFormat="false" ht="15" hidden="false" customHeight="false" outlineLevel="0" collapsed="false">
      <c r="B29" s="18" t="s">
        <v>78</v>
      </c>
    </row>
  </sheetData>
  <mergeCells count="10">
    <mergeCell ref="B14:D14"/>
    <mergeCell ref="F14:I14"/>
    <mergeCell ref="C15:D15"/>
    <mergeCell ref="C16:D16"/>
    <mergeCell ref="C17:D17"/>
    <mergeCell ref="C18:D18"/>
    <mergeCell ref="C19:D19"/>
    <mergeCell ref="C20:D20"/>
    <mergeCell ref="C21:D21"/>
    <mergeCell ref="C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30"/>
    <col collapsed="false" customWidth="true" hidden="false" outlineLevel="0" max="5" min="5" style="0" width="36"/>
  </cols>
  <sheetData>
    <row r="2" customFormat="false" ht="17.35" hidden="false" customHeight="false" outlineLevel="0" collapsed="false">
      <c r="B2" s="1" t="s">
        <v>87</v>
      </c>
    </row>
    <row r="4" customFormat="false" ht="15" hidden="false" customHeight="false" outlineLevel="0" collapsed="false">
      <c r="B4" s="0" t="s">
        <v>88</v>
      </c>
      <c r="D4" s="35" t="n">
        <f aca="false">'Propuesta 2'!D4</f>
        <v>2000</v>
      </c>
    </row>
    <row r="5" customFormat="false" ht="15" hidden="false" customHeight="false" outlineLevel="0" collapsed="false">
      <c r="B5" s="0" t="s">
        <v>89</v>
      </c>
      <c r="D5" s="36" t="n">
        <v>0.2</v>
      </c>
    </row>
    <row r="6" customFormat="false" ht="15" hidden="false" customHeight="false" outlineLevel="0" collapsed="false">
      <c r="B6" s="0" t="s">
        <v>90</v>
      </c>
      <c r="D6" s="37" t="n">
        <f aca="false">Histórico!C15</f>
        <v>3.32742248295073</v>
      </c>
    </row>
    <row r="7" customFormat="false" ht="15" hidden="false" customHeight="false" outlineLevel="0" collapsed="false">
      <c r="B7" s="0" t="s">
        <v>91</v>
      </c>
      <c r="D7" s="38" t="n">
        <v>0.15</v>
      </c>
    </row>
    <row r="9" customFormat="false" ht="23.85" hidden="false" customHeight="false" outlineLevel="0" collapsed="false">
      <c r="B9" s="3" t="s">
        <v>17</v>
      </c>
      <c r="C9" s="3" t="s">
        <v>92</v>
      </c>
      <c r="D9" s="3" t="s">
        <v>93</v>
      </c>
      <c r="E9" s="3" t="s">
        <v>94</v>
      </c>
    </row>
    <row r="10" customFormat="false" ht="15" hidden="false" customHeight="false" outlineLevel="0" collapsed="false">
      <c r="B10" s="4" t="s">
        <v>95</v>
      </c>
      <c r="C10" s="33" t="n">
        <f aca="false">D4</f>
        <v>2000</v>
      </c>
      <c r="D10" s="33" t="n">
        <f aca="false">C10*$D$6</f>
        <v>6654.84496590146</v>
      </c>
      <c r="E10" s="4" t="s">
        <v>96</v>
      </c>
    </row>
    <row r="11" customFormat="false" ht="15" hidden="false" customHeight="false" outlineLevel="0" collapsed="false">
      <c r="B11" s="4" t="s">
        <v>97</v>
      </c>
      <c r="C11" s="33" t="n">
        <f aca="false">C10*(1+$D$5)</f>
        <v>2400</v>
      </c>
      <c r="D11" s="33" t="n">
        <f aca="false">C11*$D$6</f>
        <v>7985.81395908176</v>
      </c>
      <c r="E11" s="4" t="s">
        <v>98</v>
      </c>
    </row>
    <row r="12" customFormat="false" ht="15" hidden="false" customHeight="false" outlineLevel="0" collapsed="false">
      <c r="B12" s="4" t="s">
        <v>99</v>
      </c>
      <c r="C12" s="33" t="n">
        <f aca="false">C11*(1+$D$5)</f>
        <v>2880</v>
      </c>
      <c r="D12" s="33" t="n">
        <f aca="false">C12*$D$6</f>
        <v>9582.97675089811</v>
      </c>
      <c r="E12" s="4" t="s">
        <v>98</v>
      </c>
    </row>
    <row r="13" customFormat="false" ht="15" hidden="false" customHeight="false" outlineLevel="0" collapsed="false">
      <c r="B13" s="4" t="s">
        <v>100</v>
      </c>
      <c r="C13" s="33" t="n">
        <f aca="false">C12*(1+$D$5)</f>
        <v>3456</v>
      </c>
      <c r="D13" s="33" t="n">
        <f aca="false">C13*$D$6</f>
        <v>11499.5721010777</v>
      </c>
      <c r="E13" s="4" t="s">
        <v>98</v>
      </c>
    </row>
    <row r="15" customFormat="false" ht="15" hidden="false" customHeight="false" outlineLevel="0" collapsed="false">
      <c r="B15" s="2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2026-09-25T20:43:31Z</dcterms:created>
  <dc:creator>openpyxl</dc:creator>
  <dc:description/>
  <dc:language>en-US</dc:language>
  <cp:lastModifiedBy/>
  <dcterms:modified xsi:type="dcterms:W3CDTF">2026-09-25T20:43:31Z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